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94"/>
  </bookViews>
  <sheets>
    <sheet name="道路材料" sheetId="38" r:id="rId1"/>
  </sheets>
  <definedNames>
    <definedName name="_xlnm.Print_Area" localSheetId="0">道路材料!$A$1:$L$40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<sst xmlns="http://schemas.openxmlformats.org/spreadsheetml/2006/main" count="85" uniqueCount="56">
  <si>
    <t>材料价差计算表</t>
  </si>
  <si>
    <t>序号</t>
  </si>
  <si>
    <t>名称</t>
  </si>
  <si>
    <t>单位</t>
  </si>
  <si>
    <t>数量</t>
  </si>
  <si>
    <t>基准价格(元)</t>
  </si>
  <si>
    <t>投标价格(元)</t>
  </si>
  <si>
    <t>涨价找差界限(元)</t>
  </si>
  <si>
    <t>降价找差界限(元)</t>
  </si>
  <si>
    <t>实施期价格(元)</t>
  </si>
  <si>
    <t>是否符合调差标准</t>
  </si>
  <si>
    <t>价差(元)</t>
  </si>
  <si>
    <t>合计金额　　(元)</t>
  </si>
  <si>
    <t>钢管 Φ50</t>
  </si>
  <si>
    <t>t</t>
  </si>
  <si>
    <t>水泥 32.5</t>
  </si>
  <si>
    <t>kg</t>
  </si>
  <si>
    <t>机制砖</t>
  </si>
  <si>
    <t>千块</t>
  </si>
  <si>
    <t>中粗砂</t>
  </si>
  <si>
    <t>m3</t>
  </si>
  <si>
    <t>砾石 20</t>
  </si>
  <si>
    <t>砾石 40</t>
  </si>
  <si>
    <t>环氧富锌漆</t>
  </si>
  <si>
    <t>钢筋 Φ10以内</t>
  </si>
  <si>
    <t>中厚钢板 15以内</t>
  </si>
  <si>
    <t>砂砾 5-80</t>
  </si>
  <si>
    <t>山皮石</t>
  </si>
  <si>
    <t>碎石综合</t>
  </si>
  <si>
    <t>细料石</t>
  </si>
  <si>
    <t>片石</t>
  </si>
  <si>
    <t>土工布</t>
  </si>
  <si>
    <t>商品砼 C15</t>
  </si>
  <si>
    <t>商品砼 C30</t>
  </si>
  <si>
    <t>碎石 30-40</t>
  </si>
  <si>
    <t>卵石</t>
  </si>
  <si>
    <t>聚氨酯双组分面漆</t>
  </si>
  <si>
    <t>中粒式沥青砼 AC-16</t>
  </si>
  <si>
    <t>粗粒式沥青砼 AC-25</t>
  </si>
  <si>
    <t>细粒式沥青砼 AC-13</t>
  </si>
  <si>
    <t>商品水稳碎石</t>
  </si>
  <si>
    <t>标线漆 热熔型</t>
  </si>
  <si>
    <t>反光玻璃珠</t>
  </si>
  <si>
    <t>底漆</t>
  </si>
  <si>
    <t>乳化沥青 PC-2</t>
  </si>
  <si>
    <t>乳化沥青 PC-3</t>
  </si>
  <si>
    <t>锯切花岗岩界石 49*15*10cm</t>
  </si>
  <si>
    <t>m</t>
  </si>
  <si>
    <t>锯切花岗岩边石 99*35*18cm</t>
  </si>
  <si>
    <t>透水砖6cm</t>
  </si>
  <si>
    <t>m2</t>
  </si>
  <si>
    <t>锯切花岗岩树池石 70*15*10cm</t>
  </si>
  <si>
    <t>HRB400钢筋 Φ10以外</t>
  </si>
  <si>
    <t>硬塑料管 10*10cm</t>
  </si>
  <si>
    <t>税金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</si>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</sst>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 "/>
    <numFmt numFmtId="178" formatCode="0_ "/>
    <numFmt numFmtId="179" formatCode="0.0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25"/>
      <name val="黑体"/>
      <charset val="134"/>
    </font>
    <font>
      <b/>
      <sz val="10"/>
      <name val="宋体"/>
      <charset val="134"/>
    </font>
    <font>
      <b/>
      <sz val="18"/>
      <name val="黑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176" fontId="3" fillId="0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0" borderId="0" xfId="0" applyFont="1" applyAlignment="1"/>
    <xf numFmtId="0" fontId="4" fillId="4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5" fillId="4" borderId="0" xfId="0" applyFont="1" applyFill="1">
      <alignment vertical="center"/>
    </xf>
    <xf numFmtId="0" fontId="5" fillId="4" borderId="0" xfId="0" applyFont="1" applyFill="1" applyAlignment="1">
      <alignment horizontal="center" vertical="center"/>
    </xf>
    <xf numFmtId="0" fontId="6" fillId="4" borderId="0" xfId="0" applyFont="1" applyFill="1">
      <alignment vertical="center"/>
    </xf>
    <xf numFmtId="176" fontId="6" fillId="0" borderId="0" xfId="0" applyNumberFormat="1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177" fontId="7" fillId="4" borderId="1" xfId="0" applyNumberFormat="1" applyFont="1" applyFill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horizontal="center" vertical="center" wrapText="1"/>
    </xf>
    <xf numFmtId="177" fontId="8" fillId="4" borderId="1" xfId="0" applyNumberFormat="1" applyFont="1" applyFill="1" applyBorder="1" applyAlignment="1">
      <alignment horizontal="center" vertical="center"/>
    </xf>
    <xf numFmtId="177" fontId="1" fillId="4" borderId="1" xfId="0" applyNumberFormat="1" applyFont="1" applyFill="1" applyBorder="1" applyAlignment="1">
      <alignment horizontal="center" vertical="center"/>
    </xf>
    <xf numFmtId="178" fontId="1" fillId="4" borderId="1" xfId="0" applyNumberFormat="1" applyFont="1" applyFill="1" applyBorder="1" applyAlignment="1">
      <alignment horizontal="center" vertical="center"/>
    </xf>
    <xf numFmtId="179" fontId="7" fillId="2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8" fontId="2" fillId="4" borderId="1" xfId="0" applyNumberFormat="1" applyFont="1" applyFill="1" applyBorder="1" applyAlignment="1">
      <alignment horizontal="center" vertical="center"/>
    </xf>
    <xf numFmtId="178" fontId="3" fillId="0" borderId="0" xfId="0" applyNumberFormat="1" applyFont="1" applyAlignment="1"/>
    <xf numFmtId="178" fontId="3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5"/>
  <sheetViews>
    <sheetView tabSelected="1" view="pageBreakPreview" zoomScaleNormal="100" workbookViewId="0">
      <selection activeCell="F2" sqref="E$1:F$1048576"/>
    </sheetView>
  </sheetViews>
  <sheetFormatPr defaultColWidth="9" defaultRowHeight="12"/>
  <cols>
    <col min="1" max="1" width="5.975" style="4" customWidth="1"/>
    <col min="2" max="2" width="14.95" style="4" customWidth="1"/>
    <col min="3" max="3" width="5.73333333333333" style="4" customWidth="1"/>
    <col min="4" max="4" width="12.8166666666667" style="5" customWidth="1"/>
    <col min="5" max="6" width="12.8166666666667" style="6" customWidth="1"/>
    <col min="7" max="8" width="12.8166666666667" style="4" customWidth="1"/>
    <col min="9" max="9" width="12.8166666666667" style="7" customWidth="1"/>
    <col min="10" max="12" width="12.8166666666667" style="4" customWidth="1"/>
    <col min="13" max="16384" width="9" style="8"/>
  </cols>
  <sheetData>
    <row r="1" ht="32.25" spans="1:12">
      <c r="A1" s="9" t="s">
        <v>0</v>
      </c>
      <c r="B1" s="9"/>
      <c r="C1" s="9"/>
      <c r="D1" s="10"/>
      <c r="E1" s="11"/>
      <c r="F1" s="11"/>
      <c r="G1" s="9"/>
      <c r="H1" s="9"/>
      <c r="I1" s="12"/>
      <c r="J1" s="9"/>
      <c r="K1" s="9"/>
      <c r="L1" s="9"/>
    </row>
    <row r="2" ht="27" customHeight="1" spans="1:12">
      <c r="A2" s="13"/>
      <c r="B2" s="14"/>
      <c r="C2" s="15"/>
      <c r="D2" s="16"/>
      <c r="E2" s="17"/>
      <c r="F2" s="17"/>
      <c r="G2" s="18"/>
      <c r="H2" s="19"/>
      <c r="I2" s="20"/>
      <c r="J2" s="19"/>
      <c r="K2" s="19"/>
      <c r="L2" s="19"/>
    </row>
    <row r="3" s="1" customFormat="1" ht="33" customHeight="1" spans="1:12">
      <c r="A3" s="21" t="s">
        <v>1</v>
      </c>
      <c r="B3" s="21" t="s">
        <v>2</v>
      </c>
      <c r="C3" s="21" t="s">
        <v>3</v>
      </c>
      <c r="D3" s="22" t="s">
        <v>4</v>
      </c>
      <c r="E3" s="23" t="s">
        <v>5</v>
      </c>
      <c r="F3" s="23" t="s">
        <v>6</v>
      </c>
      <c r="G3" s="21" t="s">
        <v>7</v>
      </c>
      <c r="H3" s="21" t="s">
        <v>8</v>
      </c>
      <c r="I3" s="24" t="s">
        <v>9</v>
      </c>
      <c r="J3" s="21" t="s">
        <v>10</v>
      </c>
      <c r="K3" s="21" t="s">
        <v>11</v>
      </c>
      <c r="L3" s="21" t="s">
        <v>12</v>
      </c>
    </row>
    <row r="4" s="2" customFormat="1" ht="28" customHeight="1" spans="1:12">
      <c r="A4" s="25">
        <v>1</v>
      </c>
      <c r="B4" s="21" t="s">
        <v>13</v>
      </c>
      <c r="C4" s="26" t="s">
        <v>14</v>
      </c>
      <c r="D4" s="27">
        <f>4.19</f>
        <v>4.19</v>
      </c>
      <c r="E4" s="28">
        <v>2895.73</v>
      </c>
      <c r="F4" s="28">
        <v>2895.73</v>
      </c>
      <c r="G4" s="29">
        <f t="shared" ref="G4:G38" si="0">MAX(E4:F4)*1.05</f>
        <v>3040.5165</v>
      </c>
      <c r="H4" s="29">
        <f t="shared" ref="H4:H38" si="1">MIN(E4:F4)*0.95</f>
        <v>2750.9435</v>
      </c>
      <c r="I4" s="30">
        <v>4833.46</v>
      </c>
      <c r="J4" s="31" t="str">
        <f t="shared" ref="J4:J22" si="2">IF(AND(G4&gt;=I4,I4&gt;=H4),"否","是")</f>
        <v>是</v>
      </c>
      <c r="K4" s="32">
        <f t="shared" ref="K4:K38" si="3">IF(J4="否",0,IF(I4&lt;H4,I4-H4,I4-G4))</f>
        <v>1792.9435</v>
      </c>
      <c r="L4" s="33">
        <f t="shared" ref="L4:L38" si="4">K4*D4</f>
        <v>7512.433265</v>
      </c>
    </row>
    <row r="5" s="2" customFormat="1" ht="28" customHeight="1" spans="1:12">
      <c r="A5" s="25">
        <v>2</v>
      </c>
      <c r="B5" s="26" t="s">
        <v>15</v>
      </c>
      <c r="C5" s="26" t="s">
        <v>16</v>
      </c>
      <c r="D5" s="27">
        <f>75260.71-41880.83</f>
        <v>33379.88</v>
      </c>
      <c r="E5" s="34">
        <v>0.375</v>
      </c>
      <c r="F5" s="34">
        <v>0.375</v>
      </c>
      <c r="G5" s="29">
        <f t="shared" si="0"/>
        <v>0.39375</v>
      </c>
      <c r="H5" s="29">
        <f t="shared" si="1"/>
        <v>0.35625</v>
      </c>
      <c r="I5" s="30">
        <v>0.476</v>
      </c>
      <c r="J5" s="31" t="str">
        <f t="shared" si="2"/>
        <v>是</v>
      </c>
      <c r="K5" s="32">
        <f t="shared" si="3"/>
        <v>0.08225</v>
      </c>
      <c r="L5" s="33">
        <f t="shared" si="4"/>
        <v>2745.49513</v>
      </c>
    </row>
    <row r="6" s="2" customFormat="1" ht="28" customHeight="1" spans="1:12">
      <c r="A6" s="25">
        <v>3</v>
      </c>
      <c r="B6" s="26" t="s">
        <v>17</v>
      </c>
      <c r="C6" s="26" t="s">
        <v>18</v>
      </c>
      <c r="D6" s="27">
        <f>1.57-1.57</f>
        <v>0</v>
      </c>
      <c r="E6" s="28">
        <v>449.57</v>
      </c>
      <c r="F6" s="28">
        <v>449.57</v>
      </c>
      <c r="G6" s="29">
        <f t="shared" si="0"/>
        <v>472.0485</v>
      </c>
      <c r="H6" s="29">
        <f t="shared" si="1"/>
        <v>427.0915</v>
      </c>
      <c r="I6" s="30">
        <v>350</v>
      </c>
      <c r="J6" s="31" t="str">
        <f t="shared" si="2"/>
        <v>是</v>
      </c>
      <c r="K6" s="32">
        <f t="shared" si="3"/>
        <v>-77.0915</v>
      </c>
      <c r="L6" s="33">
        <f t="shared" si="4"/>
        <v>0</v>
      </c>
    </row>
    <row r="7" s="2" customFormat="1" ht="28" customHeight="1" spans="1:12">
      <c r="A7" s="25">
        <v>4</v>
      </c>
      <c r="B7" s="35" t="s">
        <v>19</v>
      </c>
      <c r="C7" s="26" t="s">
        <v>20</v>
      </c>
      <c r="D7" s="27">
        <f>361.37-42.39+4.25</f>
        <v>323.23</v>
      </c>
      <c r="E7" s="28">
        <v>67.09</v>
      </c>
      <c r="F7" s="28">
        <v>67.09</v>
      </c>
      <c r="G7" s="29">
        <f t="shared" si="0"/>
        <v>70.4445</v>
      </c>
      <c r="H7" s="29">
        <f t="shared" si="1"/>
        <v>63.7355</v>
      </c>
      <c r="I7" s="30">
        <v>113.3</v>
      </c>
      <c r="J7" s="31" t="str">
        <f t="shared" si="2"/>
        <v>是</v>
      </c>
      <c r="K7" s="32">
        <f t="shared" si="3"/>
        <v>42.8555</v>
      </c>
      <c r="L7" s="33">
        <f t="shared" si="4"/>
        <v>13852.183265</v>
      </c>
    </row>
    <row r="8" s="2" customFormat="1" ht="28" customHeight="1" spans="1:12">
      <c r="A8" s="25">
        <v>5</v>
      </c>
      <c r="B8" s="26" t="s">
        <v>21</v>
      </c>
      <c r="C8" s="26" t="s">
        <v>20</v>
      </c>
      <c r="D8" s="27">
        <f>12.37+1.31</f>
        <v>13.68</v>
      </c>
      <c r="E8" s="28">
        <v>70.69</v>
      </c>
      <c r="F8" s="28">
        <v>70.69</v>
      </c>
      <c r="G8" s="29">
        <f t="shared" si="0"/>
        <v>74.2245</v>
      </c>
      <c r="H8" s="29">
        <f t="shared" si="1"/>
        <v>67.1555</v>
      </c>
      <c r="I8" s="30">
        <v>113</v>
      </c>
      <c r="J8" s="31" t="str">
        <f t="shared" si="2"/>
        <v>是</v>
      </c>
      <c r="K8" s="32">
        <f t="shared" si="3"/>
        <v>38.7755</v>
      </c>
      <c r="L8" s="33">
        <f t="shared" si="4"/>
        <v>530.44884</v>
      </c>
    </row>
    <row r="9" s="2" customFormat="1" ht="28" customHeight="1" spans="1:12">
      <c r="A9" s="25">
        <v>6</v>
      </c>
      <c r="B9" s="26" t="s">
        <v>22</v>
      </c>
      <c r="C9" s="26" t="s">
        <v>20</v>
      </c>
      <c r="D9" s="27">
        <f>18.21-2.6</f>
        <v>15.61</v>
      </c>
      <c r="E9" s="28">
        <v>51.09</v>
      </c>
      <c r="F9" s="28">
        <v>51.09</v>
      </c>
      <c r="G9" s="29">
        <f t="shared" si="0"/>
        <v>53.6445</v>
      </c>
      <c r="H9" s="29">
        <f t="shared" si="1"/>
        <v>48.5355</v>
      </c>
      <c r="I9" s="30">
        <v>113</v>
      </c>
      <c r="J9" s="31" t="str">
        <f t="shared" si="2"/>
        <v>是</v>
      </c>
      <c r="K9" s="32">
        <f t="shared" si="3"/>
        <v>59.3555</v>
      </c>
      <c r="L9" s="33">
        <f t="shared" si="4"/>
        <v>926.539355</v>
      </c>
    </row>
    <row r="10" s="2" customFormat="1" ht="28" customHeight="1" spans="1:12">
      <c r="A10" s="25">
        <v>7</v>
      </c>
      <c r="B10" s="36" t="s">
        <v>23</v>
      </c>
      <c r="C10" s="26" t="s">
        <v>16</v>
      </c>
      <c r="D10" s="27">
        <v>44.7</v>
      </c>
      <c r="E10" s="28">
        <v>22.2</v>
      </c>
      <c r="F10" s="28">
        <v>22.2</v>
      </c>
      <c r="G10" s="29">
        <f t="shared" si="0"/>
        <v>23.31</v>
      </c>
      <c r="H10" s="29">
        <f t="shared" si="1"/>
        <v>21.09</v>
      </c>
      <c r="I10" s="30">
        <v>20.53</v>
      </c>
      <c r="J10" s="31" t="str">
        <f t="shared" si="2"/>
        <v>是</v>
      </c>
      <c r="K10" s="32">
        <f t="shared" si="3"/>
        <v>-0.559999999999999</v>
      </c>
      <c r="L10" s="33">
        <f t="shared" si="4"/>
        <v>-25.0319999999999</v>
      </c>
    </row>
    <row r="11" s="2" customFormat="1" ht="28" customHeight="1" spans="1:12">
      <c r="A11" s="25">
        <v>8</v>
      </c>
      <c r="B11" s="36" t="s">
        <v>24</v>
      </c>
      <c r="C11" s="26" t="s">
        <v>14</v>
      </c>
      <c r="D11" s="27">
        <v>0.21</v>
      </c>
      <c r="E11" s="28">
        <v>2767.6</v>
      </c>
      <c r="F11" s="28">
        <v>2767.6</v>
      </c>
      <c r="G11" s="29">
        <f t="shared" si="0"/>
        <v>2905.98</v>
      </c>
      <c r="H11" s="29">
        <f t="shared" si="1"/>
        <v>2629.22</v>
      </c>
      <c r="I11" s="30">
        <v>3652.21</v>
      </c>
      <c r="J11" s="31" t="str">
        <f t="shared" si="2"/>
        <v>是</v>
      </c>
      <c r="K11" s="32">
        <f t="shared" si="3"/>
        <v>746.23</v>
      </c>
      <c r="L11" s="33">
        <f t="shared" si="4"/>
        <v>156.7083</v>
      </c>
    </row>
    <row r="12" s="2" customFormat="1" ht="28" customHeight="1" spans="1:12">
      <c r="A12" s="25">
        <v>9</v>
      </c>
      <c r="B12" s="36" t="s">
        <v>25</v>
      </c>
      <c r="C12" s="26" t="s">
        <v>16</v>
      </c>
      <c r="D12" s="27">
        <v>583.49</v>
      </c>
      <c r="E12" s="28">
        <v>2.64</v>
      </c>
      <c r="F12" s="28">
        <v>2.64</v>
      </c>
      <c r="G12" s="29">
        <f t="shared" si="0"/>
        <v>2.772</v>
      </c>
      <c r="H12" s="29">
        <f t="shared" si="1"/>
        <v>2.508</v>
      </c>
      <c r="I12" s="30">
        <v>3.841</v>
      </c>
      <c r="J12" s="31" t="str">
        <f t="shared" si="2"/>
        <v>是</v>
      </c>
      <c r="K12" s="32">
        <f t="shared" si="3"/>
        <v>1.069</v>
      </c>
      <c r="L12" s="33">
        <f t="shared" si="4"/>
        <v>623.75081</v>
      </c>
    </row>
    <row r="13" s="2" customFormat="1" ht="28" customHeight="1" spans="1:12">
      <c r="A13" s="25">
        <v>10</v>
      </c>
      <c r="B13" s="36" t="s">
        <v>26</v>
      </c>
      <c r="C13" s="26" t="s">
        <v>20</v>
      </c>
      <c r="D13" s="27">
        <f>4274.47-1043.92+33.19</f>
        <v>3263.74</v>
      </c>
      <c r="E13" s="28">
        <v>50.23</v>
      </c>
      <c r="F13" s="28">
        <v>50.23</v>
      </c>
      <c r="G13" s="29">
        <f t="shared" si="0"/>
        <v>52.7415</v>
      </c>
      <c r="H13" s="29">
        <f t="shared" si="1"/>
        <v>47.7185</v>
      </c>
      <c r="I13" s="30">
        <v>97.85</v>
      </c>
      <c r="J13" s="31" t="str">
        <f t="shared" si="2"/>
        <v>是</v>
      </c>
      <c r="K13" s="32">
        <f t="shared" si="3"/>
        <v>45.1085</v>
      </c>
      <c r="L13" s="33">
        <f t="shared" si="4"/>
        <v>147222.41579</v>
      </c>
    </row>
    <row r="14" s="2" customFormat="1" ht="28" customHeight="1" spans="1:12">
      <c r="A14" s="25">
        <v>11</v>
      </c>
      <c r="B14" s="36" t="s">
        <v>27</v>
      </c>
      <c r="C14" s="26" t="s">
        <v>20</v>
      </c>
      <c r="D14" s="27">
        <f>1523.78+2345.67</f>
        <v>3869.45</v>
      </c>
      <c r="E14" s="28">
        <v>44.26</v>
      </c>
      <c r="F14" s="28">
        <v>44.26</v>
      </c>
      <c r="G14" s="29">
        <f t="shared" si="0"/>
        <v>46.473</v>
      </c>
      <c r="H14" s="29">
        <f t="shared" si="1"/>
        <v>42.047</v>
      </c>
      <c r="I14" s="30">
        <v>61.8</v>
      </c>
      <c r="J14" s="31" t="str">
        <f t="shared" si="2"/>
        <v>是</v>
      </c>
      <c r="K14" s="32">
        <f t="shared" si="3"/>
        <v>15.327</v>
      </c>
      <c r="L14" s="33">
        <f t="shared" si="4"/>
        <v>59307.06015</v>
      </c>
    </row>
    <row r="15" s="2" customFormat="1" ht="28" customHeight="1" spans="1:12">
      <c r="A15" s="25">
        <v>12</v>
      </c>
      <c r="B15" s="36" t="s">
        <v>28</v>
      </c>
      <c r="C15" s="26" t="s">
        <v>20</v>
      </c>
      <c r="D15" s="27">
        <f>33.17-4+122.86</f>
        <v>152.03</v>
      </c>
      <c r="E15" s="28">
        <v>70.73</v>
      </c>
      <c r="F15" s="28">
        <v>70.73</v>
      </c>
      <c r="G15" s="29">
        <f t="shared" si="0"/>
        <v>74.2665</v>
      </c>
      <c r="H15" s="29">
        <f t="shared" si="1"/>
        <v>67.1935</v>
      </c>
      <c r="I15" s="30">
        <v>79.79</v>
      </c>
      <c r="J15" s="31" t="str">
        <f t="shared" si="2"/>
        <v>是</v>
      </c>
      <c r="K15" s="32">
        <f t="shared" si="3"/>
        <v>5.52350000000001</v>
      </c>
      <c r="L15" s="33">
        <f t="shared" si="4"/>
        <v>839.737705000002</v>
      </c>
    </row>
    <row r="16" s="2" customFormat="1" ht="28" customHeight="1" spans="1:12">
      <c r="A16" s="25">
        <v>13</v>
      </c>
      <c r="B16" s="36" t="s">
        <v>29</v>
      </c>
      <c r="C16" s="26" t="s">
        <v>20</v>
      </c>
      <c r="D16" s="27">
        <v>0</v>
      </c>
      <c r="E16" s="28">
        <v>70</v>
      </c>
      <c r="F16" s="28">
        <v>70</v>
      </c>
      <c r="G16" s="29">
        <f t="shared" si="0"/>
        <v>73.5</v>
      </c>
      <c r="H16" s="29">
        <f t="shared" si="1"/>
        <v>66.5</v>
      </c>
      <c r="I16" s="30">
        <v>70</v>
      </c>
      <c r="J16" s="31" t="str">
        <f t="shared" si="2"/>
        <v>否</v>
      </c>
      <c r="K16" s="32">
        <f t="shared" si="3"/>
        <v>0</v>
      </c>
      <c r="L16" s="33">
        <f t="shared" si="4"/>
        <v>0</v>
      </c>
    </row>
    <row r="17" s="2" customFormat="1" ht="28" customHeight="1" spans="1:12">
      <c r="A17" s="25">
        <v>14</v>
      </c>
      <c r="B17" s="36" t="s">
        <v>30</v>
      </c>
      <c r="C17" s="26" t="s">
        <v>20</v>
      </c>
      <c r="D17" s="27">
        <f>98.44</f>
        <v>98.44</v>
      </c>
      <c r="E17" s="28">
        <v>48</v>
      </c>
      <c r="F17" s="28">
        <v>48</v>
      </c>
      <c r="G17" s="29">
        <f t="shared" si="0"/>
        <v>50.4</v>
      </c>
      <c r="H17" s="29">
        <f t="shared" si="1"/>
        <v>45.6</v>
      </c>
      <c r="I17" s="30">
        <v>85.85</v>
      </c>
      <c r="J17" s="31" t="str">
        <f t="shared" si="2"/>
        <v>是</v>
      </c>
      <c r="K17" s="32">
        <f t="shared" si="3"/>
        <v>35.45</v>
      </c>
      <c r="L17" s="33">
        <f t="shared" si="4"/>
        <v>3489.698</v>
      </c>
    </row>
    <row r="18" s="2" customFormat="1" ht="28" customHeight="1" spans="1:12">
      <c r="A18" s="25">
        <v>15</v>
      </c>
      <c r="B18" s="36" t="s">
        <v>31</v>
      </c>
      <c r="C18" s="26" t="s">
        <v>20</v>
      </c>
      <c r="D18" s="27">
        <f>1071.59-95</f>
        <v>976.59</v>
      </c>
      <c r="E18" s="28">
        <v>4.5</v>
      </c>
      <c r="F18" s="28">
        <v>4.5</v>
      </c>
      <c r="G18" s="29">
        <f t="shared" si="0"/>
        <v>4.725</v>
      </c>
      <c r="H18" s="29">
        <f t="shared" si="1"/>
        <v>4.275</v>
      </c>
      <c r="I18" s="30">
        <v>4.5</v>
      </c>
      <c r="J18" s="31" t="str">
        <f t="shared" si="2"/>
        <v>否</v>
      </c>
      <c r="K18" s="32">
        <f t="shared" si="3"/>
        <v>0</v>
      </c>
      <c r="L18" s="33">
        <f t="shared" si="4"/>
        <v>0</v>
      </c>
    </row>
    <row r="19" s="2" customFormat="1" ht="28" customHeight="1" spans="1:12">
      <c r="A19" s="25">
        <v>16</v>
      </c>
      <c r="B19" s="36" t="s">
        <v>32</v>
      </c>
      <c r="C19" s="26" t="s">
        <v>20</v>
      </c>
      <c r="D19" s="27">
        <v>0</v>
      </c>
      <c r="E19" s="28">
        <v>290</v>
      </c>
      <c r="F19" s="28">
        <v>290</v>
      </c>
      <c r="G19" s="29">
        <f t="shared" si="0"/>
        <v>304.5</v>
      </c>
      <c r="H19" s="29">
        <f t="shared" si="1"/>
        <v>275.5</v>
      </c>
      <c r="I19" s="30">
        <v>280</v>
      </c>
      <c r="J19" s="31" t="str">
        <f t="shared" si="2"/>
        <v>否</v>
      </c>
      <c r="K19" s="32">
        <f t="shared" si="3"/>
        <v>0</v>
      </c>
      <c r="L19" s="33">
        <f t="shared" si="4"/>
        <v>0</v>
      </c>
    </row>
    <row r="20" s="2" customFormat="1" ht="28" customHeight="1" spans="1:12">
      <c r="A20" s="25">
        <v>17</v>
      </c>
      <c r="B20" s="36" t="s">
        <v>33</v>
      </c>
      <c r="C20" s="26" t="s">
        <v>20</v>
      </c>
      <c r="D20" s="27">
        <f>134.08-39.48+349.62+26.19</f>
        <v>470.41</v>
      </c>
      <c r="E20" s="28">
        <v>320</v>
      </c>
      <c r="F20" s="28">
        <v>320</v>
      </c>
      <c r="G20" s="29">
        <f t="shared" si="0"/>
        <v>336</v>
      </c>
      <c r="H20" s="29">
        <f t="shared" si="1"/>
        <v>304</v>
      </c>
      <c r="I20" s="30">
        <v>310</v>
      </c>
      <c r="J20" s="31" t="str">
        <f t="shared" si="2"/>
        <v>否</v>
      </c>
      <c r="K20" s="32">
        <f t="shared" si="3"/>
        <v>0</v>
      </c>
      <c r="L20" s="33">
        <f t="shared" si="4"/>
        <v>0</v>
      </c>
    </row>
    <row r="21" s="2" customFormat="1" ht="28" customHeight="1" spans="1:12">
      <c r="A21" s="25">
        <v>18</v>
      </c>
      <c r="B21" s="36" t="s">
        <v>34</v>
      </c>
      <c r="C21" s="26" t="s">
        <v>20</v>
      </c>
      <c r="D21" s="27">
        <f>7.35+0.78</f>
        <v>8.13</v>
      </c>
      <c r="E21" s="28">
        <v>70.73</v>
      </c>
      <c r="F21" s="28">
        <v>70.73</v>
      </c>
      <c r="G21" s="29">
        <f t="shared" si="0"/>
        <v>74.2665</v>
      </c>
      <c r="H21" s="29">
        <f t="shared" si="1"/>
        <v>67.1935</v>
      </c>
      <c r="I21" s="30">
        <v>79.79</v>
      </c>
      <c r="J21" s="31" t="str">
        <f t="shared" si="2"/>
        <v>是</v>
      </c>
      <c r="K21" s="32">
        <f t="shared" si="3"/>
        <v>5.52350000000001</v>
      </c>
      <c r="L21" s="33">
        <f t="shared" si="4"/>
        <v>44.9060550000001</v>
      </c>
    </row>
    <row r="22" s="2" customFormat="1" ht="28" customHeight="1" spans="1:12">
      <c r="A22" s="25">
        <v>19</v>
      </c>
      <c r="B22" s="36" t="s">
        <v>35</v>
      </c>
      <c r="C22" s="26" t="s">
        <v>20</v>
      </c>
      <c r="D22" s="27">
        <v>0</v>
      </c>
      <c r="E22" s="28">
        <v>45</v>
      </c>
      <c r="F22" s="28">
        <v>45</v>
      </c>
      <c r="G22" s="29">
        <f t="shared" si="0"/>
        <v>47.25</v>
      </c>
      <c r="H22" s="29">
        <f t="shared" si="1"/>
        <v>42.75</v>
      </c>
      <c r="I22" s="30">
        <v>100</v>
      </c>
      <c r="J22" s="31" t="str">
        <f t="shared" si="2"/>
        <v>是</v>
      </c>
      <c r="K22" s="32">
        <f t="shared" si="3"/>
        <v>52.75</v>
      </c>
      <c r="L22" s="33">
        <f t="shared" si="4"/>
        <v>0</v>
      </c>
    </row>
    <row r="23" s="2" customFormat="1" ht="28" customHeight="1" spans="1:12">
      <c r="A23" s="25">
        <v>20</v>
      </c>
      <c r="B23" s="36" t="s">
        <v>36</v>
      </c>
      <c r="C23" s="26" t="s">
        <v>16</v>
      </c>
      <c r="D23" s="27">
        <v>35</v>
      </c>
      <c r="E23" s="28">
        <v>13</v>
      </c>
      <c r="F23" s="28">
        <v>13</v>
      </c>
      <c r="G23" s="29">
        <f t="shared" si="0"/>
        <v>13.65</v>
      </c>
      <c r="H23" s="29">
        <f t="shared" si="1"/>
        <v>12.35</v>
      </c>
      <c r="I23" s="30">
        <v>20</v>
      </c>
      <c r="J23" s="31" t="str">
        <f t="shared" ref="J23:J38" si="5">IF(AND(G23&gt;=I23,I23&gt;=H23),"否","是")</f>
        <v>是</v>
      </c>
      <c r="K23" s="32">
        <f t="shared" si="3"/>
        <v>6.35</v>
      </c>
      <c r="L23" s="33">
        <f t="shared" si="4"/>
        <v>222.25</v>
      </c>
    </row>
    <row r="24" s="2" customFormat="1" ht="28" customHeight="1" spans="1:12">
      <c r="A24" s="25">
        <v>21</v>
      </c>
      <c r="B24" s="26" t="s">
        <v>37</v>
      </c>
      <c r="C24" s="26" t="s">
        <v>20</v>
      </c>
      <c r="D24" s="27">
        <f>421.62-4.65</f>
        <v>416.97</v>
      </c>
      <c r="E24" s="28">
        <v>1024.81</v>
      </c>
      <c r="F24" s="28">
        <v>1024.81</v>
      </c>
      <c r="G24" s="29">
        <f t="shared" si="0"/>
        <v>1076.0505</v>
      </c>
      <c r="H24" s="29">
        <f t="shared" si="1"/>
        <v>973.5695</v>
      </c>
      <c r="I24" s="30">
        <v>1144.94</v>
      </c>
      <c r="J24" s="31" t="str">
        <f t="shared" si="5"/>
        <v>是</v>
      </c>
      <c r="K24" s="32">
        <f t="shared" si="3"/>
        <v>68.8895</v>
      </c>
      <c r="L24" s="33">
        <f t="shared" si="4"/>
        <v>28724.854815</v>
      </c>
    </row>
    <row r="25" s="2" customFormat="1" ht="28" customHeight="1" spans="1:12">
      <c r="A25" s="25">
        <v>22</v>
      </c>
      <c r="B25" s="26" t="s">
        <v>38</v>
      </c>
      <c r="C25" s="26" t="s">
        <v>20</v>
      </c>
      <c r="D25" s="27">
        <f>583.91-6.5</f>
        <v>577.41</v>
      </c>
      <c r="E25" s="28">
        <v>910.7</v>
      </c>
      <c r="F25" s="28">
        <v>910.7</v>
      </c>
      <c r="G25" s="29">
        <f t="shared" si="0"/>
        <v>956.235</v>
      </c>
      <c r="H25" s="29">
        <f t="shared" si="1"/>
        <v>865.165</v>
      </c>
      <c r="I25" s="30">
        <v>1023.53</v>
      </c>
      <c r="J25" s="31" t="str">
        <f t="shared" si="5"/>
        <v>是</v>
      </c>
      <c r="K25" s="32">
        <f t="shared" si="3"/>
        <v>67.295</v>
      </c>
      <c r="L25" s="33">
        <f t="shared" si="4"/>
        <v>38856.80595</v>
      </c>
    </row>
    <row r="26" s="2" customFormat="1" ht="28" customHeight="1" spans="1:12">
      <c r="A26" s="25">
        <v>23</v>
      </c>
      <c r="B26" s="26" t="s">
        <v>39</v>
      </c>
      <c r="C26" s="26" t="s">
        <v>20</v>
      </c>
      <c r="D26" s="27">
        <f>334.49-3.73</f>
        <v>330.76</v>
      </c>
      <c r="E26" s="28">
        <v>1038.79</v>
      </c>
      <c r="F26" s="28">
        <v>1038.79</v>
      </c>
      <c r="G26" s="29">
        <f t="shared" si="0"/>
        <v>1090.7295</v>
      </c>
      <c r="H26" s="29">
        <f t="shared" si="1"/>
        <v>986.8505</v>
      </c>
      <c r="I26" s="30">
        <v>1203.97</v>
      </c>
      <c r="J26" s="31" t="str">
        <f t="shared" si="5"/>
        <v>是</v>
      </c>
      <c r="K26" s="32">
        <f t="shared" si="3"/>
        <v>113.2405</v>
      </c>
      <c r="L26" s="33">
        <f t="shared" si="4"/>
        <v>37455.42778</v>
      </c>
    </row>
    <row r="27" s="2" customFormat="1" ht="28" customHeight="1" spans="1:12">
      <c r="A27" s="25">
        <v>24</v>
      </c>
      <c r="B27" s="26" t="s">
        <v>40</v>
      </c>
      <c r="C27" s="26" t="s">
        <v>14</v>
      </c>
      <c r="D27" s="27">
        <f>8757.2-83.89</f>
        <v>8673.31</v>
      </c>
      <c r="E27" s="28">
        <v>79.07</v>
      </c>
      <c r="F27" s="28">
        <v>79.07</v>
      </c>
      <c r="G27" s="29">
        <f t="shared" si="0"/>
        <v>83.0235</v>
      </c>
      <c r="H27" s="29">
        <f t="shared" si="1"/>
        <v>75.1165</v>
      </c>
      <c r="I27" s="30">
        <v>84.33</v>
      </c>
      <c r="J27" s="31" t="str">
        <f t="shared" si="5"/>
        <v>是</v>
      </c>
      <c r="K27" s="32">
        <f t="shared" si="3"/>
        <v>1.3065</v>
      </c>
      <c r="L27" s="33">
        <f t="shared" si="4"/>
        <v>11331.679515</v>
      </c>
    </row>
    <row r="28" s="2" customFormat="1" ht="28" customHeight="1" spans="1:12">
      <c r="A28" s="25">
        <v>25</v>
      </c>
      <c r="B28" s="26" t="s">
        <v>41</v>
      </c>
      <c r="C28" s="26" t="s">
        <v>16</v>
      </c>
      <c r="D28" s="27">
        <v>0</v>
      </c>
      <c r="E28" s="28">
        <v>4.5</v>
      </c>
      <c r="F28" s="28">
        <v>4.5</v>
      </c>
      <c r="G28" s="29">
        <f t="shared" si="0"/>
        <v>4.725</v>
      </c>
      <c r="H28" s="29">
        <f t="shared" si="1"/>
        <v>4.275</v>
      </c>
      <c r="I28" s="28">
        <v>4.5</v>
      </c>
      <c r="J28" s="31" t="str">
        <f t="shared" si="5"/>
        <v>否</v>
      </c>
      <c r="K28" s="32">
        <f t="shared" si="3"/>
        <v>0</v>
      </c>
      <c r="L28" s="33">
        <f t="shared" si="4"/>
        <v>0</v>
      </c>
    </row>
    <row r="29" s="2" customFormat="1" ht="28" customHeight="1" spans="1:12">
      <c r="A29" s="25">
        <v>26</v>
      </c>
      <c r="B29" s="26" t="s">
        <v>42</v>
      </c>
      <c r="C29" s="26" t="s">
        <v>16</v>
      </c>
      <c r="D29" s="27">
        <v>0</v>
      </c>
      <c r="E29" s="28">
        <v>2</v>
      </c>
      <c r="F29" s="28">
        <v>2</v>
      </c>
      <c r="G29" s="29">
        <f t="shared" si="0"/>
        <v>2.1</v>
      </c>
      <c r="H29" s="29">
        <f t="shared" si="1"/>
        <v>1.9</v>
      </c>
      <c r="I29" s="28">
        <v>2</v>
      </c>
      <c r="J29" s="31" t="str">
        <f t="shared" si="5"/>
        <v>否</v>
      </c>
      <c r="K29" s="32">
        <f t="shared" si="3"/>
        <v>0</v>
      </c>
      <c r="L29" s="33">
        <f t="shared" si="4"/>
        <v>0</v>
      </c>
    </row>
    <row r="30" s="2" customFormat="1" ht="28" customHeight="1" spans="1:12">
      <c r="A30" s="25">
        <v>27</v>
      </c>
      <c r="B30" s="26" t="s">
        <v>43</v>
      </c>
      <c r="C30" s="26" t="s">
        <v>16</v>
      </c>
      <c r="D30" s="27">
        <v>0</v>
      </c>
      <c r="E30" s="28">
        <v>12</v>
      </c>
      <c r="F30" s="28">
        <v>12</v>
      </c>
      <c r="G30" s="29">
        <f t="shared" si="0"/>
        <v>12.6</v>
      </c>
      <c r="H30" s="29">
        <f t="shared" si="1"/>
        <v>11.4</v>
      </c>
      <c r="I30" s="28">
        <v>12</v>
      </c>
      <c r="J30" s="31" t="str">
        <f t="shared" si="5"/>
        <v>否</v>
      </c>
      <c r="K30" s="32">
        <f t="shared" si="3"/>
        <v>0</v>
      </c>
      <c r="L30" s="33">
        <f t="shared" si="4"/>
        <v>0</v>
      </c>
    </row>
    <row r="31" s="2" customFormat="1" ht="28" customHeight="1" spans="1:12">
      <c r="A31" s="25">
        <v>28</v>
      </c>
      <c r="B31" s="26" t="s">
        <v>44</v>
      </c>
      <c r="C31" s="26" t="s">
        <v>16</v>
      </c>
      <c r="D31" s="27">
        <f>9265-92</f>
        <v>9173</v>
      </c>
      <c r="E31" s="28">
        <v>2.8</v>
      </c>
      <c r="F31" s="28">
        <v>2.8</v>
      </c>
      <c r="G31" s="29">
        <f t="shared" si="0"/>
        <v>2.94</v>
      </c>
      <c r="H31" s="29">
        <f t="shared" si="1"/>
        <v>2.66</v>
      </c>
      <c r="I31" s="30">
        <v>3.3694</v>
      </c>
      <c r="J31" s="31" t="str">
        <f t="shared" si="5"/>
        <v>是</v>
      </c>
      <c r="K31" s="32">
        <f t="shared" si="3"/>
        <v>0.4294</v>
      </c>
      <c r="L31" s="33">
        <f t="shared" si="4"/>
        <v>3938.8862</v>
      </c>
    </row>
    <row r="32" s="2" customFormat="1" ht="28" customHeight="1" spans="1:12">
      <c r="A32" s="25">
        <v>29</v>
      </c>
      <c r="B32" s="26" t="s">
        <v>45</v>
      </c>
      <c r="C32" s="26" t="s">
        <v>16</v>
      </c>
      <c r="D32" s="27">
        <f>8257.5-46</f>
        <v>8211.5</v>
      </c>
      <c r="E32" s="28">
        <v>3.5</v>
      </c>
      <c r="F32" s="28">
        <v>3.5</v>
      </c>
      <c r="G32" s="29">
        <f t="shared" si="0"/>
        <v>3.675</v>
      </c>
      <c r="H32" s="29">
        <f t="shared" si="1"/>
        <v>3.325</v>
      </c>
      <c r="I32" s="30">
        <v>4.4462</v>
      </c>
      <c r="J32" s="31" t="str">
        <f t="shared" si="5"/>
        <v>是</v>
      </c>
      <c r="K32" s="32">
        <f t="shared" si="3"/>
        <v>0.7712</v>
      </c>
      <c r="L32" s="33">
        <f t="shared" si="4"/>
        <v>6332.7088</v>
      </c>
    </row>
    <row r="33" s="2" customFormat="1" ht="28" customHeight="1" spans="1:12">
      <c r="A33" s="25">
        <v>30</v>
      </c>
      <c r="B33" s="26" t="s">
        <v>46</v>
      </c>
      <c r="C33" s="26" t="s">
        <v>47</v>
      </c>
      <c r="D33" s="27">
        <f>1017.07+108.07</f>
        <v>1125.14</v>
      </c>
      <c r="E33" s="28">
        <v>30.7</v>
      </c>
      <c r="F33" s="28">
        <v>30.7</v>
      </c>
      <c r="G33" s="29">
        <f t="shared" si="0"/>
        <v>32.235</v>
      </c>
      <c r="H33" s="29">
        <f t="shared" si="1"/>
        <v>29.165</v>
      </c>
      <c r="I33" s="30">
        <v>21.63</v>
      </c>
      <c r="J33" s="31" t="str">
        <f t="shared" si="5"/>
        <v>是</v>
      </c>
      <c r="K33" s="32">
        <f t="shared" si="3"/>
        <v>-7.535</v>
      </c>
      <c r="L33" s="33">
        <f t="shared" si="4"/>
        <v>-8477.9299</v>
      </c>
    </row>
    <row r="34" s="2" customFormat="1" ht="28" customHeight="1" spans="1:12">
      <c r="A34" s="25">
        <v>31</v>
      </c>
      <c r="B34" s="26" t="s">
        <v>48</v>
      </c>
      <c r="C34" s="26" t="s">
        <v>47</v>
      </c>
      <c r="D34" s="27">
        <f>1599.64-61</f>
        <v>1538.64</v>
      </c>
      <c r="E34" s="28">
        <v>58.55</v>
      </c>
      <c r="F34" s="28">
        <v>58.55</v>
      </c>
      <c r="G34" s="29">
        <f t="shared" si="0"/>
        <v>61.4775</v>
      </c>
      <c r="H34" s="29">
        <f t="shared" si="1"/>
        <v>55.6225</v>
      </c>
      <c r="I34" s="30">
        <v>85</v>
      </c>
      <c r="J34" s="31" t="str">
        <f t="shared" si="5"/>
        <v>是</v>
      </c>
      <c r="K34" s="32">
        <f t="shared" si="3"/>
        <v>23.5225</v>
      </c>
      <c r="L34" s="33">
        <f t="shared" si="4"/>
        <v>36192.6594</v>
      </c>
    </row>
    <row r="35" s="2" customFormat="1" ht="28" customHeight="1" spans="1:12">
      <c r="A35" s="25">
        <v>32</v>
      </c>
      <c r="B35" s="26" t="s">
        <v>49</v>
      </c>
      <c r="C35" s="26" t="s">
        <v>50</v>
      </c>
      <c r="D35" s="27">
        <f>4594.2-567.65</f>
        <v>4026.55</v>
      </c>
      <c r="E35" s="28">
        <v>38</v>
      </c>
      <c r="F35" s="28">
        <v>38</v>
      </c>
      <c r="G35" s="29">
        <f t="shared" si="0"/>
        <v>39.9</v>
      </c>
      <c r="H35" s="29">
        <f t="shared" si="1"/>
        <v>36.1</v>
      </c>
      <c r="I35" s="30">
        <v>53.65</v>
      </c>
      <c r="J35" s="31" t="str">
        <f t="shared" si="5"/>
        <v>是</v>
      </c>
      <c r="K35" s="32">
        <f t="shared" si="3"/>
        <v>13.75</v>
      </c>
      <c r="L35" s="33">
        <f t="shared" si="4"/>
        <v>55365.0625</v>
      </c>
    </row>
    <row r="36" s="2" customFormat="1" ht="28" customHeight="1" spans="1:12">
      <c r="A36" s="25">
        <v>33</v>
      </c>
      <c r="B36" s="26" t="s">
        <v>51</v>
      </c>
      <c r="C36" s="26" t="s">
        <v>47</v>
      </c>
      <c r="D36" s="27">
        <f>1187.76-169.68</f>
        <v>1018.08</v>
      </c>
      <c r="E36" s="28">
        <v>30.7</v>
      </c>
      <c r="F36" s="28">
        <v>30.7</v>
      </c>
      <c r="G36" s="29">
        <f t="shared" si="0"/>
        <v>32.235</v>
      </c>
      <c r="H36" s="29">
        <f t="shared" si="1"/>
        <v>29.165</v>
      </c>
      <c r="I36" s="30">
        <v>21.63</v>
      </c>
      <c r="J36" s="31" t="str">
        <f t="shared" si="5"/>
        <v>是</v>
      </c>
      <c r="K36" s="32">
        <f t="shared" si="3"/>
        <v>-7.535</v>
      </c>
      <c r="L36" s="33">
        <f t="shared" si="4"/>
        <v>-7671.2328</v>
      </c>
    </row>
    <row r="37" s="2" customFormat="1" ht="28" customHeight="1" spans="1:12">
      <c r="A37" s="25">
        <v>34</v>
      </c>
      <c r="B37" s="26" t="s">
        <v>52</v>
      </c>
      <c r="C37" s="26" t="s">
        <v>14</v>
      </c>
      <c r="D37" s="27">
        <f>14.22-4.76</f>
        <v>9.46</v>
      </c>
      <c r="E37" s="28">
        <v>2940.93</v>
      </c>
      <c r="F37" s="28">
        <v>2940.93</v>
      </c>
      <c r="G37" s="29">
        <f t="shared" si="0"/>
        <v>3087.9765</v>
      </c>
      <c r="H37" s="29">
        <f t="shared" si="1"/>
        <v>2793.8835</v>
      </c>
      <c r="I37" s="30">
        <v>3623.68</v>
      </c>
      <c r="J37" s="31" t="str">
        <f t="shared" si="5"/>
        <v>是</v>
      </c>
      <c r="K37" s="32">
        <f t="shared" si="3"/>
        <v>535.7035</v>
      </c>
      <c r="L37" s="33">
        <f t="shared" si="4"/>
        <v>5067.75511</v>
      </c>
    </row>
    <row r="38" s="2" customFormat="1" ht="28" customHeight="1" spans="1:12">
      <c r="A38" s="25">
        <v>35</v>
      </c>
      <c r="B38" s="26" t="s">
        <v>53</v>
      </c>
      <c r="C38" s="26" t="s">
        <v>47</v>
      </c>
      <c r="D38" s="27">
        <v>10.71</v>
      </c>
      <c r="E38" s="28">
        <v>46.9</v>
      </c>
      <c r="F38" s="28">
        <v>46.9</v>
      </c>
      <c r="G38" s="29">
        <f t="shared" si="0"/>
        <v>49.245</v>
      </c>
      <c r="H38" s="29">
        <f t="shared" si="1"/>
        <v>44.555</v>
      </c>
      <c r="I38" s="30">
        <v>46.9</v>
      </c>
      <c r="J38" s="31" t="str">
        <f t="shared" si="5"/>
        <v>否</v>
      </c>
      <c r="K38" s="32">
        <f t="shared" si="3"/>
        <v>0</v>
      </c>
      <c r="L38" s="33">
        <f t="shared" si="4"/>
        <v>0</v>
      </c>
    </row>
    <row r="39" s="3" customFormat="1" ht="27" customHeight="1" spans="1:12">
      <c r="A39" s="37"/>
      <c r="B39" s="37" t="s">
        <v>54</v>
      </c>
      <c r="C39" s="37"/>
      <c r="D39" s="38"/>
      <c r="E39" s="39"/>
      <c r="F39" s="39"/>
      <c r="G39" s="37"/>
      <c r="H39" s="37"/>
      <c r="I39" s="40"/>
      <c r="J39" s="37"/>
      <c r="K39" s="37"/>
      <c r="L39" s="41">
        <f>(SUM(L4:L38))*0.09</f>
        <v>40010.87448315</v>
      </c>
    </row>
    <row r="40" s="3" customFormat="1" ht="29" customHeight="1" spans="1:12">
      <c r="A40" s="37"/>
      <c r="B40" s="37" t="s">
        <v>55</v>
      </c>
      <c r="C40" s="37"/>
      <c r="D40" s="38"/>
      <c r="E40" s="39"/>
      <c r="F40" s="39"/>
      <c r="G40" s="37"/>
      <c r="H40" s="37"/>
      <c r="I40" s="40"/>
      <c r="J40" s="37"/>
      <c r="K40" s="37"/>
      <c r="L40" s="41">
        <f>SUM(L4:L39)</f>
        <v>484576.14651815</v>
      </c>
    </row>
    <row r="41" ht="17.25" customHeight="1" spans="1:12">
      <c r="L41" s="42"/>
    </row>
    <row r="42" spans="1:12">
      <c r="L42" s="43"/>
    </row>
    <row r="43" spans="1:12">
      <c r="L43" s="43"/>
    </row>
    <row r="45" spans="1:12">
      <c r="L45" s="43"/>
    </row>
  </sheetData>
  <mergeCells count="1">
    <mergeCell ref="A1:L1"/>
  </mergeCells>
  <printOptions horizontalCentered="1"/>
  <pageMargins left="0.748031496062992" right="0.748031496062992" top="0.984251968503937" bottom="0.984251968503937" header="0.511811023622047" footer="0.511811023622047"/>
  <pageSetup paperSize="9" scale="61" fitToHeight="0" orientation="portrait"/>
  <headerFooter/>
  <rowBreaks count="2" manualBreakCount="2">
    <brk id="40" max="16383" man="1"/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道路材料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WPS_1648723015</cp:lastModifiedBy>
  <dcterms:created xsi:type="dcterms:W3CDTF">2006-09-13T11:21:00Z</dcterms:created>
  <cp:lastPrinted>2025-07-23T08:12:00Z</cp:lastPrinted>
  <dcterms:modified xsi:type="dcterms:W3CDTF">2026-04-02T05:58:03Z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65781A85335040789F211D4D1EE71E6F_13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